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核算表" sheetId="11" r:id="rId1"/>
  </sheets>
  <definedNames>
    <definedName name="_xlnm.Print_Area" localSheetId="0">核算表!$A$1:$O$46</definedName>
    <definedName name="_xlnm.Print_Titles" localSheetId="0">核算表!$4:$5</definedName>
  </definedNames>
  <calcPr calcId="145621"/>
</workbook>
</file>

<file path=xl/calcChain.xml><?xml version="1.0" encoding="utf-8"?>
<calcChain xmlns="http://schemas.openxmlformats.org/spreadsheetml/2006/main">
  <c r="J31" i="11" l="1"/>
  <c r="L42" i="11" l="1"/>
  <c r="J39" i="11"/>
  <c r="M39" i="11" s="1"/>
  <c r="M42" i="11" s="1"/>
  <c r="H39" i="11"/>
  <c r="N17" i="11"/>
  <c r="L6" i="11" l="1"/>
  <c r="I30" i="11" l="1"/>
  <c r="F30" i="11"/>
  <c r="M31" i="11"/>
  <c r="K33" i="11"/>
  <c r="J34" i="11"/>
  <c r="H31" i="11"/>
  <c r="H34" i="11" s="1"/>
  <c r="I34" i="11"/>
  <c r="F34" i="11"/>
  <c r="J35" i="11"/>
  <c r="H35" i="11"/>
  <c r="K31" i="11" l="1"/>
  <c r="I38" i="11"/>
  <c r="F38" i="11"/>
  <c r="M24" i="11"/>
  <c r="K24" i="11"/>
  <c r="J23" i="11" l="1"/>
  <c r="H23" i="11"/>
  <c r="K23" i="11" s="1"/>
  <c r="I26" i="11"/>
  <c r="F26" i="11"/>
  <c r="H42" i="11"/>
  <c r="I42" i="11"/>
  <c r="J42" i="11"/>
  <c r="F42" i="11"/>
  <c r="F22" i="11"/>
  <c r="J19" i="11"/>
  <c r="I19" i="11"/>
  <c r="H19" i="11"/>
  <c r="J15" i="11"/>
  <c r="I15" i="11"/>
  <c r="H15" i="11"/>
  <c r="F18" i="11"/>
  <c r="I14" i="11" l="1"/>
  <c r="J14" i="11"/>
  <c r="F14" i="11"/>
  <c r="F10" i="11"/>
  <c r="J9" i="11"/>
  <c r="I9" i="11"/>
  <c r="H9" i="11"/>
  <c r="J7" i="11"/>
  <c r="I7" i="11"/>
  <c r="H7" i="11"/>
  <c r="K39" i="11" l="1"/>
  <c r="K42" i="11" s="1"/>
  <c r="G39" i="11"/>
  <c r="G42" i="11" s="1"/>
  <c r="L37" i="11"/>
  <c r="G37" i="11"/>
  <c r="H37" i="11" s="1"/>
  <c r="H38" i="11" s="1"/>
  <c r="G36" i="11"/>
  <c r="M35" i="11"/>
  <c r="L35" i="11"/>
  <c r="K35" i="11"/>
  <c r="N35" i="11" s="1"/>
  <c r="G35" i="11"/>
  <c r="G38" i="11" s="1"/>
  <c r="M33" i="11"/>
  <c r="L33" i="11"/>
  <c r="G33" i="11"/>
  <c r="K32" i="11"/>
  <c r="N32" i="11" s="1"/>
  <c r="G32" i="11"/>
  <c r="L31" i="11"/>
  <c r="G31" i="11"/>
  <c r="G34" i="11" s="1"/>
  <c r="M29" i="11"/>
  <c r="L29" i="11"/>
  <c r="K29" i="11"/>
  <c r="G29" i="11"/>
  <c r="M28" i="11"/>
  <c r="L28" i="11"/>
  <c r="G28" i="11"/>
  <c r="L27" i="11"/>
  <c r="G27" i="11"/>
  <c r="L25" i="11"/>
  <c r="G25" i="11"/>
  <c r="L24" i="11"/>
  <c r="N24" i="11" s="1"/>
  <c r="G24" i="11"/>
  <c r="L23" i="11"/>
  <c r="N23" i="11" s="1"/>
  <c r="G23" i="11"/>
  <c r="G21" i="11"/>
  <c r="M20" i="11"/>
  <c r="L20" i="11"/>
  <c r="K20" i="11"/>
  <c r="G20" i="11"/>
  <c r="K19" i="11"/>
  <c r="G19" i="11"/>
  <c r="G17" i="11"/>
  <c r="M16" i="11"/>
  <c r="L16" i="11"/>
  <c r="K16" i="11"/>
  <c r="L15" i="11"/>
  <c r="G15" i="11"/>
  <c r="G13" i="11"/>
  <c r="H13" i="11" s="1"/>
  <c r="H14" i="11" s="1"/>
  <c r="M12" i="11"/>
  <c r="L12" i="11"/>
  <c r="K12" i="11"/>
  <c r="G11" i="11"/>
  <c r="G14" i="11" s="1"/>
  <c r="M9" i="11"/>
  <c r="L9" i="11"/>
  <c r="K9" i="11"/>
  <c r="G9" i="11"/>
  <c r="M8" i="11"/>
  <c r="L8" i="11"/>
  <c r="K8" i="11"/>
  <c r="M7" i="11"/>
  <c r="L7" i="11"/>
  <c r="K7" i="11"/>
  <c r="G7" i="11"/>
  <c r="G10" i="11" l="1"/>
  <c r="G18" i="11"/>
  <c r="H17" i="11"/>
  <c r="G26" i="11"/>
  <c r="H25" i="11"/>
  <c r="J25" i="11"/>
  <c r="J27" i="11"/>
  <c r="J30" i="11" s="1"/>
  <c r="H27" i="11"/>
  <c r="H30" i="11" s="1"/>
  <c r="G30" i="11"/>
  <c r="K6" i="11"/>
  <c r="N42" i="11"/>
  <c r="H21" i="11"/>
  <c r="K21" i="11" s="1"/>
  <c r="G22" i="11"/>
  <c r="N8" i="11"/>
  <c r="N9" i="11"/>
  <c r="N7" i="11"/>
  <c r="N28" i="11"/>
  <c r="N11" i="11"/>
  <c r="N33" i="11"/>
  <c r="N39" i="11"/>
  <c r="N15" i="11"/>
  <c r="N29" i="11"/>
  <c r="N12" i="11"/>
  <c r="N16" i="11"/>
  <c r="N20" i="11"/>
  <c r="J37" i="11"/>
  <c r="N13" i="11"/>
  <c r="N27" i="11"/>
  <c r="N19" i="11"/>
  <c r="I17" i="11" l="1"/>
  <c r="I18" i="11" s="1"/>
  <c r="J17" i="11"/>
  <c r="J18" i="11" s="1"/>
  <c r="H18" i="11"/>
  <c r="M25" i="11"/>
  <c r="J26" i="11"/>
  <c r="M37" i="11"/>
  <c r="N37" i="11" s="1"/>
  <c r="J38" i="11"/>
  <c r="K25" i="11"/>
  <c r="N25" i="11" s="1"/>
  <c r="H26" i="11"/>
  <c r="H22" i="11"/>
  <c r="I21" i="11"/>
  <c r="I22" i="11" s="1"/>
  <c r="J21" i="11"/>
  <c r="J22" i="11" l="1"/>
  <c r="M21" i="11"/>
  <c r="N21" i="11" l="1"/>
  <c r="N22" i="11" s="1"/>
  <c r="N6" i="11" s="1"/>
  <c r="M22" i="11"/>
  <c r="M6" i="11" s="1"/>
</calcChain>
</file>

<file path=xl/sharedStrings.xml><?xml version="1.0" encoding="utf-8"?>
<sst xmlns="http://schemas.openxmlformats.org/spreadsheetml/2006/main" count="86" uniqueCount="51">
  <si>
    <t>税种</t>
    <phoneticPr fontId="1" type="noConversion"/>
  </si>
  <si>
    <t>增量</t>
    <phoneticPr fontId="1" type="noConversion"/>
  </si>
  <si>
    <t>完工前一年</t>
    <phoneticPr fontId="1" type="noConversion"/>
  </si>
  <si>
    <t>其中：省级分成部分</t>
    <phoneticPr fontId="1" type="noConversion"/>
  </si>
  <si>
    <t>其中：市级分成部分</t>
    <phoneticPr fontId="1" type="noConversion"/>
  </si>
  <si>
    <t>其中：县（市、区）级分成部分</t>
    <phoneticPr fontId="1" type="noConversion"/>
  </si>
  <si>
    <t>省级</t>
    <phoneticPr fontId="1" type="noConversion"/>
  </si>
  <si>
    <t>市级</t>
    <phoneticPr fontId="1" type="noConversion"/>
  </si>
  <si>
    <t>县（市、区）</t>
    <phoneticPr fontId="1" type="noConversion"/>
  </si>
  <si>
    <t>合计</t>
    <phoneticPr fontId="1" type="noConversion"/>
  </si>
  <si>
    <t>企业名称</t>
    <phoneticPr fontId="1" type="noConversion"/>
  </si>
  <si>
    <t>序号</t>
    <phoneticPr fontId="1" type="noConversion"/>
  </si>
  <si>
    <t>申报当年</t>
    <phoneticPr fontId="1" type="noConversion"/>
  </si>
  <si>
    <t>企业所得税</t>
    <phoneticPr fontId="1" type="noConversion"/>
  </si>
  <si>
    <t>合计</t>
    <phoneticPr fontId="1" type="noConversion"/>
  </si>
  <si>
    <t>梅州市志浩电子科技有限公司</t>
    <phoneticPr fontId="1" type="noConversion"/>
  </si>
  <si>
    <t>增值税</t>
    <phoneticPr fontId="1" type="noConversion"/>
  </si>
  <si>
    <t>营业税</t>
    <phoneticPr fontId="1" type="noConversion"/>
  </si>
  <si>
    <t>梅州市兴成线路板有限公司</t>
    <phoneticPr fontId="1" type="noConversion"/>
  </si>
  <si>
    <t>龙宇电子（梅州）有限公司</t>
    <phoneticPr fontId="1" type="noConversion"/>
  </si>
  <si>
    <t>梅州市奔创电子有限公司</t>
    <phoneticPr fontId="1" type="noConversion"/>
  </si>
  <si>
    <t>兴宁立讯精密工业有限公司</t>
    <phoneticPr fontId="1" type="noConversion"/>
  </si>
  <si>
    <t>广东华清园生物科技有限公司</t>
    <phoneticPr fontId="1" type="noConversion"/>
  </si>
  <si>
    <t>广东新南方青蒿药业股份有限公司</t>
    <phoneticPr fontId="1" type="noConversion"/>
  </si>
  <si>
    <t>广东宇星阻燃新材股份有限公司</t>
    <phoneticPr fontId="1" type="noConversion"/>
  </si>
  <si>
    <t>广东宝汇环保科技有限公司</t>
    <phoneticPr fontId="1" type="noConversion"/>
  </si>
  <si>
    <t>地区</t>
    <phoneticPr fontId="1" type="noConversion"/>
  </si>
  <si>
    <t>丰顺县</t>
    <phoneticPr fontId="1" type="noConversion"/>
  </si>
  <si>
    <t>梅江区</t>
  </si>
  <si>
    <t>梅江区</t>
    <phoneticPr fontId="1" type="noConversion"/>
  </si>
  <si>
    <t>梅江区</t>
    <phoneticPr fontId="1" type="noConversion"/>
  </si>
  <si>
    <t>兴宁市</t>
    <phoneticPr fontId="1" type="noConversion"/>
  </si>
  <si>
    <t>平远县</t>
    <phoneticPr fontId="1" type="noConversion"/>
  </si>
  <si>
    <t>五华县</t>
    <phoneticPr fontId="1" type="noConversion"/>
  </si>
  <si>
    <t>备注</t>
    <phoneticPr fontId="1" type="noConversion"/>
  </si>
  <si>
    <t>单位：万元</t>
    <phoneticPr fontId="1" type="noConversion"/>
  </si>
  <si>
    <t>2、说明：按照《广东省经济和信息化委员会 广东省财政厅 广东省国家税务局 广东省地方税务局 广东省统计局关于落实企业技术改造事后奖补（普惠性）政策有关问题的通知》（粤经信技改【2017】19号）文件规定：核算新增财政贡献时，以企业按税款所属期计算的入库数（直接税收）为准。</t>
    <phoneticPr fontId="1" type="noConversion"/>
  </si>
  <si>
    <t>实际完成固定资产552.56万元，2017年完工项目，2018年和2019年共获得145.45万元，2020年拟支持152.39万元，合计297.84万元。符合“三年奖励总额不超过固定资产实际投资额”的要求。</t>
    <phoneticPr fontId="1" type="noConversion"/>
  </si>
  <si>
    <t>实际完成固定资产1557.32万元，2017年完工项目，2018年和2019年共获得448.35万元，2020年拟支持285.73万元，合计734.08万元。符合“三年奖励总额不超过固定资产实际投资额”的要求。</t>
    <phoneticPr fontId="1" type="noConversion"/>
  </si>
  <si>
    <t>实际完成固定资产1573.02万元，2017年完工项目，2018年和2019年共获得405.79万元，2020年拟支持57.72万元，合计463.51万元。符合“三年奖励总额不超过固定资产实际投资额”的要求。</t>
    <phoneticPr fontId="1" type="noConversion"/>
  </si>
  <si>
    <t>实际完成固定资产1114.2万元，2017年完工项目，2018年和2019年共获得547.49万元，2020年拟支持278.56万元，合计826.05万元。符合“三年奖励总额不超过固定资产实际投资额”的要求。</t>
    <phoneticPr fontId="1" type="noConversion"/>
  </si>
  <si>
    <t>实际完成固定资产1137.64万元，2017年完工项目，2018年和2019年共获得125.60万元，2020年拟支持26.92万元，合计152.52万元。符合“三年奖励总额不超过固定资产实际投资额”的要求。</t>
    <phoneticPr fontId="1" type="noConversion"/>
  </si>
  <si>
    <t>实际完成固定资产791.10万元，2017年完工项目，2018年和2019年共获得287.82万元，2020年拟支持15.06万元，合计302.88万元。符合“三年奖励总额不超过固定资产实际投资额”的要求。</t>
    <phoneticPr fontId="1" type="noConversion"/>
  </si>
  <si>
    <t>1、按对财政贡献增量额度中省级分成部分的60%、地市级分成部分的50%、县级分成部分的40%实行以奖代补。</t>
    <phoneticPr fontId="1" type="noConversion"/>
  </si>
  <si>
    <t>实际完成固定资产907.45万元，2017年完工项目，2018年和2019年共获得145.75万元，2020年拟支持54.83万元，合计200.58万元。符合“三年奖励总额不超过固定资产实际投资额”的要求。</t>
    <phoneticPr fontId="1" type="noConversion"/>
  </si>
  <si>
    <t>实际完成固定资产570.57万元，2017年完工项目，2018年和2019年共获得17.23万元，2020年拟支持9.63万元，合计26.86万元。符合“三年奖励总额不超过固定资产实际投资额”的要求。</t>
    <phoneticPr fontId="1" type="noConversion"/>
  </si>
  <si>
    <t>3、根据《市政府工作会议决定事项通知书》（梅市府办会函〔2016〕60号）和梅州市人民政府办公室《关于印发广东梅州高新技术产业园区管理委员会〔广州（梅州）产业转移工业园管理委员会〕财政体与资金划拨管理实施方案的通知》（梅市府办函〔2015〕183号）精神，梅江区的企业“事后奖补”项目，按市、区两级政府67:33比例共同承担，其他县（市、区）和梅州高新区企业“事后奖补”项目资金由各地自行承担。</t>
    <phoneticPr fontId="1" type="noConversion"/>
  </si>
  <si>
    <t>拟奖补资金额度</t>
    <phoneticPr fontId="1" type="noConversion"/>
  </si>
  <si>
    <t>附件：</t>
    <phoneticPr fontId="1" type="noConversion"/>
  </si>
  <si>
    <t>梅州市2020年工业企业技术改造事后奖补（普惠性）资金拟支持项目表</t>
    <phoneticPr fontId="1" type="noConversion"/>
  </si>
  <si>
    <t>税收无增量，不予支持。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</si>
</sst>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 "/>
    <numFmt numFmtId="178" formatCode="0.000_ 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name val="宋体"/>
      <family val="2"/>
      <scheme val="minor"/>
    </font>
    <font>
      <sz val="14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zoomScale="95" zoomScaleNormal="95" workbookViewId="0">
      <selection activeCell="O7" sqref="O7:O10"/>
    </sheetView>
  </sheetViews>
  <sheetFormatPr defaultRowHeight="13.5" x14ac:dyDescent="0.15"/>
  <cols>
    <col min="1" max="1" width="9.125" style="4" bestFit="1" customWidth="1"/>
    <col min="2" max="2" width="9.125" style="4" customWidth="1"/>
    <col min="3" max="3" width="18.875" style="4" customWidth="1"/>
    <col min="4" max="4" width="10.625" style="4" customWidth="1"/>
    <col min="5" max="5" width="10.125" style="4" customWidth="1"/>
    <col min="6" max="7" width="10" style="4" bestFit="1" customWidth="1"/>
    <col min="8" max="8" width="10.625" style="4" customWidth="1"/>
    <col min="9" max="9" width="10.75" style="4" customWidth="1"/>
    <col min="10" max="10" width="12" style="4" customWidth="1"/>
    <col min="11" max="11" width="10.5" style="4" customWidth="1"/>
    <col min="12" max="12" width="11.375" style="4" customWidth="1"/>
    <col min="13" max="13" width="11.25" style="4" customWidth="1"/>
    <col min="14" max="14" width="13.125" style="4" customWidth="1"/>
    <col min="15" max="15" width="41.625" style="4" customWidth="1"/>
    <col min="16" max="16384" width="9" style="4"/>
  </cols>
  <sheetData>
    <row r="1" spans="1:16" ht="32.25" customHeight="1" x14ac:dyDescent="0.15">
      <c r="A1" s="15" t="s">
        <v>48</v>
      </c>
      <c r="B1" s="15"/>
      <c r="C1" s="16"/>
    </row>
    <row r="2" spans="1:16" ht="29.25" customHeight="1" x14ac:dyDescent="0.15">
      <c r="A2" s="17" t="s">
        <v>49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22.5" customHeight="1" x14ac:dyDescent="0.15">
      <c r="A3" s="22"/>
      <c r="B3" s="22"/>
      <c r="C3" s="22"/>
      <c r="D3" s="10"/>
      <c r="E3" s="10"/>
      <c r="F3" s="10"/>
      <c r="G3" s="10"/>
      <c r="H3" s="10"/>
      <c r="I3" s="10"/>
      <c r="J3" s="10"/>
      <c r="K3" s="10"/>
      <c r="L3" s="10"/>
      <c r="M3" s="10"/>
      <c r="O3" s="11" t="s">
        <v>35</v>
      </c>
    </row>
    <row r="4" spans="1:16" ht="33.75" customHeight="1" x14ac:dyDescent="0.15">
      <c r="A4" s="19" t="s">
        <v>11</v>
      </c>
      <c r="B4" s="20" t="s">
        <v>26</v>
      </c>
      <c r="C4" s="18" t="s">
        <v>10</v>
      </c>
      <c r="D4" s="19" t="s">
        <v>0</v>
      </c>
      <c r="E4" s="2" t="s">
        <v>2</v>
      </c>
      <c r="F4" s="2" t="s">
        <v>12</v>
      </c>
      <c r="G4" s="19" t="s">
        <v>1</v>
      </c>
      <c r="H4" s="18" t="s">
        <v>3</v>
      </c>
      <c r="I4" s="18" t="s">
        <v>4</v>
      </c>
      <c r="J4" s="18" t="s">
        <v>5</v>
      </c>
      <c r="K4" s="18" t="s">
        <v>47</v>
      </c>
      <c r="L4" s="18"/>
      <c r="M4" s="18"/>
      <c r="N4" s="18"/>
      <c r="O4" s="18" t="s">
        <v>34</v>
      </c>
    </row>
    <row r="5" spans="1:16" ht="34.5" customHeight="1" x14ac:dyDescent="0.15">
      <c r="A5" s="19"/>
      <c r="B5" s="21"/>
      <c r="C5" s="18"/>
      <c r="D5" s="19"/>
      <c r="E5" s="2">
        <v>2016</v>
      </c>
      <c r="F5" s="2">
        <v>2019</v>
      </c>
      <c r="G5" s="19"/>
      <c r="H5" s="18"/>
      <c r="I5" s="18"/>
      <c r="J5" s="18"/>
      <c r="K5" s="5" t="s">
        <v>6</v>
      </c>
      <c r="L5" s="5" t="s">
        <v>7</v>
      </c>
      <c r="M5" s="5" t="s">
        <v>8</v>
      </c>
      <c r="N5" s="5" t="s">
        <v>9</v>
      </c>
      <c r="O5" s="18"/>
    </row>
    <row r="6" spans="1:16" s="9" customFormat="1" ht="45.75" customHeight="1" x14ac:dyDescent="0.15">
      <c r="A6" s="33" t="s">
        <v>9</v>
      </c>
      <c r="B6" s="34"/>
      <c r="C6" s="35"/>
      <c r="D6" s="6"/>
      <c r="E6" s="6"/>
      <c r="F6" s="6"/>
      <c r="G6" s="6"/>
      <c r="H6" s="6"/>
      <c r="I6" s="6"/>
      <c r="J6" s="6"/>
      <c r="K6" s="7">
        <f>K10+K14+K18+K22+K26+K30+K34+K38+K42</f>
        <v>549.30999999999995</v>
      </c>
      <c r="L6" s="7">
        <f>L10+L14+L18+L22+L26+L30+L34+L38+L42</f>
        <v>144.03</v>
      </c>
      <c r="M6" s="7">
        <f>M10+M14+M18+M22+M26+M30+M34+M38+M42</f>
        <v>185.48600000000002</v>
      </c>
      <c r="N6" s="7">
        <f>N10+N14+N18+N22+N26+N30+N34+N38+N42</f>
        <v>878.8309999999999</v>
      </c>
      <c r="O6" s="8"/>
    </row>
    <row r="7" spans="1:16" ht="26.25" customHeight="1" x14ac:dyDescent="0.15">
      <c r="A7" s="20">
        <v>1</v>
      </c>
      <c r="B7" s="20" t="s">
        <v>29</v>
      </c>
      <c r="C7" s="27" t="s">
        <v>15</v>
      </c>
      <c r="D7" s="2" t="s">
        <v>16</v>
      </c>
      <c r="E7" s="2">
        <v>74.91</v>
      </c>
      <c r="F7" s="2">
        <v>1522.14</v>
      </c>
      <c r="G7" s="2">
        <f>F7-E7</f>
        <v>1447.23</v>
      </c>
      <c r="H7" s="2">
        <f>380.54-0.03</f>
        <v>380.51000000000005</v>
      </c>
      <c r="I7" s="1">
        <f>254.96-12.54</f>
        <v>242.42000000000002</v>
      </c>
      <c r="J7" s="2">
        <f>125.58-6.18</f>
        <v>119.4</v>
      </c>
      <c r="K7" s="3">
        <f>H7*0.6</f>
        <v>228.30600000000001</v>
      </c>
      <c r="L7" s="3">
        <f>I7*0.5</f>
        <v>121.21000000000001</v>
      </c>
      <c r="M7" s="3">
        <f>J7*0.4</f>
        <v>47.760000000000005</v>
      </c>
      <c r="N7" s="3">
        <f t="shared" ref="N7:N9" si="0">K7+L7+M7</f>
        <v>397.27600000000001</v>
      </c>
      <c r="O7" s="23" t="s">
        <v>50</v>
      </c>
    </row>
    <row r="8" spans="1:16" ht="26.25" customHeight="1" x14ac:dyDescent="0.15">
      <c r="A8" s="26"/>
      <c r="B8" s="26"/>
      <c r="C8" s="28"/>
      <c r="D8" s="2" t="s">
        <v>17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3">
        <f t="shared" ref="K8:K9" si="1">H8*0.6</f>
        <v>0</v>
      </c>
      <c r="L8" s="3">
        <f t="shared" ref="L8:L9" si="2">I8*0.5</f>
        <v>0</v>
      </c>
      <c r="M8" s="3">
        <f t="shared" ref="M8:M9" si="3">J8*0.4</f>
        <v>0</v>
      </c>
      <c r="N8" s="3">
        <f t="shared" si="0"/>
        <v>0</v>
      </c>
      <c r="O8" s="24"/>
      <c r="P8" s="12"/>
    </row>
    <row r="9" spans="1:16" ht="26.25" customHeight="1" x14ac:dyDescent="0.15">
      <c r="A9" s="26"/>
      <c r="B9" s="26"/>
      <c r="C9" s="28"/>
      <c r="D9" s="5" t="s">
        <v>13</v>
      </c>
      <c r="E9" s="1">
        <v>1526.67</v>
      </c>
      <c r="F9" s="2">
        <v>39.200000000000003</v>
      </c>
      <c r="G9" s="2">
        <f>F9-E9</f>
        <v>-1487.47</v>
      </c>
      <c r="H9" s="1">
        <f>7.84-141.14</f>
        <v>-133.29999999999998</v>
      </c>
      <c r="I9" s="1">
        <f>5.25-94.5638</f>
        <v>-89.313800000000001</v>
      </c>
      <c r="J9" s="1">
        <f>2.59-46.5762</f>
        <v>-43.986199999999997</v>
      </c>
      <c r="K9" s="3">
        <f t="shared" si="1"/>
        <v>-79.97999999999999</v>
      </c>
      <c r="L9" s="3">
        <f t="shared" si="2"/>
        <v>-44.6569</v>
      </c>
      <c r="M9" s="3">
        <f t="shared" si="3"/>
        <v>-17.594480000000001</v>
      </c>
      <c r="N9" s="13">
        <f t="shared" si="0"/>
        <v>-142.23138</v>
      </c>
      <c r="O9" s="24"/>
    </row>
    <row r="10" spans="1:16" ht="26.25" customHeight="1" x14ac:dyDescent="0.15">
      <c r="A10" s="21"/>
      <c r="B10" s="21"/>
      <c r="C10" s="29"/>
      <c r="D10" s="5" t="s">
        <v>14</v>
      </c>
      <c r="E10" s="1">
        <v>1601.5800000000002</v>
      </c>
      <c r="F10" s="1">
        <f>F7+F8+F9</f>
        <v>1561.3400000000001</v>
      </c>
      <c r="G10" s="1">
        <f t="shared" ref="G10" si="4">G7+G8+G9</f>
        <v>-40.240000000000009</v>
      </c>
      <c r="H10" s="1"/>
      <c r="I10" s="1"/>
      <c r="J10" s="1"/>
      <c r="K10" s="1">
        <v>0</v>
      </c>
      <c r="L10" s="1">
        <v>0</v>
      </c>
      <c r="M10" s="1">
        <v>0</v>
      </c>
      <c r="N10" s="1">
        <v>0</v>
      </c>
      <c r="O10" s="25"/>
    </row>
    <row r="11" spans="1:16" ht="26.25" customHeight="1" x14ac:dyDescent="0.15">
      <c r="A11" s="20">
        <v>2</v>
      </c>
      <c r="B11" s="20" t="s">
        <v>30</v>
      </c>
      <c r="C11" s="27" t="s">
        <v>18</v>
      </c>
      <c r="D11" s="2" t="s">
        <v>16</v>
      </c>
      <c r="E11" s="1">
        <v>0</v>
      </c>
      <c r="F11" s="1">
        <v>534.14</v>
      </c>
      <c r="G11" s="2">
        <f>F11-E11</f>
        <v>534.14</v>
      </c>
      <c r="H11" s="2">
        <v>133.54</v>
      </c>
      <c r="I11" s="1">
        <v>89.47</v>
      </c>
      <c r="J11" s="1">
        <v>44.07</v>
      </c>
      <c r="K11" s="3">
        <v>80.12</v>
      </c>
      <c r="L11" s="3">
        <v>44.73</v>
      </c>
      <c r="M11" s="3">
        <v>17.62</v>
      </c>
      <c r="N11" s="3">
        <f t="shared" ref="N11:N13" si="5">K11+L11+M11</f>
        <v>142.47</v>
      </c>
      <c r="O11" s="30" t="s">
        <v>37</v>
      </c>
    </row>
    <row r="12" spans="1:16" ht="26.25" customHeight="1" x14ac:dyDescent="0.15">
      <c r="A12" s="26"/>
      <c r="B12" s="26"/>
      <c r="C12" s="28"/>
      <c r="D12" s="2" t="s">
        <v>17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3">
        <f t="shared" ref="K12" si="6">H12*0.6</f>
        <v>0</v>
      </c>
      <c r="L12" s="3">
        <f t="shared" ref="L12" si="7">I12*0.5</f>
        <v>0</v>
      </c>
      <c r="M12" s="3">
        <f t="shared" ref="M12" si="8">J12*0.4</f>
        <v>0</v>
      </c>
      <c r="N12" s="13">
        <f t="shared" si="5"/>
        <v>0</v>
      </c>
      <c r="O12" s="31"/>
      <c r="P12" s="12"/>
    </row>
    <row r="13" spans="1:16" ht="26.25" customHeight="1" x14ac:dyDescent="0.15">
      <c r="A13" s="26"/>
      <c r="B13" s="26"/>
      <c r="C13" s="28"/>
      <c r="D13" s="5" t="s">
        <v>13</v>
      </c>
      <c r="E13" s="1">
        <v>0</v>
      </c>
      <c r="F13" s="2">
        <v>46.53</v>
      </c>
      <c r="G13" s="2">
        <f>F13-E13</f>
        <v>46.53</v>
      </c>
      <c r="H13" s="1">
        <f>G13*0.2</f>
        <v>9.3060000000000009</v>
      </c>
      <c r="I13" s="1">
        <v>6.24</v>
      </c>
      <c r="J13" s="1">
        <v>3.07</v>
      </c>
      <c r="K13" s="3">
        <v>5.58</v>
      </c>
      <c r="L13" s="3">
        <v>3.12</v>
      </c>
      <c r="M13" s="3">
        <v>1.22</v>
      </c>
      <c r="N13" s="3">
        <f t="shared" si="5"/>
        <v>9.92</v>
      </c>
      <c r="O13" s="31"/>
    </row>
    <row r="14" spans="1:16" ht="26.25" customHeight="1" x14ac:dyDescent="0.15">
      <c r="A14" s="21"/>
      <c r="B14" s="21"/>
      <c r="C14" s="29"/>
      <c r="D14" s="5" t="s">
        <v>14</v>
      </c>
      <c r="E14" s="1">
        <v>0</v>
      </c>
      <c r="F14" s="1">
        <f>F11+F12+F13</f>
        <v>580.66999999999996</v>
      </c>
      <c r="G14" s="1">
        <f t="shared" ref="G14:J14" si="9">G11+G12+G13</f>
        <v>580.66999999999996</v>
      </c>
      <c r="H14" s="1">
        <f t="shared" si="9"/>
        <v>142.846</v>
      </c>
      <c r="I14" s="1">
        <f t="shared" si="9"/>
        <v>95.71</v>
      </c>
      <c r="J14" s="1">
        <f t="shared" si="9"/>
        <v>47.14</v>
      </c>
      <c r="K14" s="1">
        <v>85.7</v>
      </c>
      <c r="L14" s="1">
        <v>47.849999999999994</v>
      </c>
      <c r="M14" s="1">
        <v>18.84</v>
      </c>
      <c r="N14" s="1">
        <v>152.38999999999999</v>
      </c>
      <c r="O14" s="32"/>
    </row>
    <row r="15" spans="1:16" ht="26.25" customHeight="1" x14ac:dyDescent="0.15">
      <c r="A15" s="20">
        <v>3</v>
      </c>
      <c r="B15" s="20" t="s">
        <v>30</v>
      </c>
      <c r="C15" s="27" t="s">
        <v>19</v>
      </c>
      <c r="D15" s="2" t="s">
        <v>16</v>
      </c>
      <c r="E15" s="2">
        <v>817.82</v>
      </c>
      <c r="F15" s="2">
        <v>1717.62</v>
      </c>
      <c r="G15" s="2">
        <f>F15-E15</f>
        <v>899.79999999999984</v>
      </c>
      <c r="H15" s="2">
        <f>429.4-147.42</f>
        <v>281.98</v>
      </c>
      <c r="I15" s="1">
        <f>287.7-136.98</f>
        <v>150.72</v>
      </c>
      <c r="J15" s="2">
        <f>141.7-67.47</f>
        <v>74.22999999999999</v>
      </c>
      <c r="K15" s="3">
        <v>169.18</v>
      </c>
      <c r="L15" s="3">
        <f>I15*0.5</f>
        <v>75.36</v>
      </c>
      <c r="M15" s="3">
        <v>29.69</v>
      </c>
      <c r="N15" s="3">
        <f t="shared" ref="N15:N33" si="10">K15+L15+M15</f>
        <v>274.23</v>
      </c>
      <c r="O15" s="30" t="s">
        <v>38</v>
      </c>
    </row>
    <row r="16" spans="1:16" ht="26.25" customHeight="1" x14ac:dyDescent="0.15">
      <c r="A16" s="26"/>
      <c r="B16" s="26"/>
      <c r="C16" s="28"/>
      <c r="D16" s="2" t="s">
        <v>17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3">
        <f t="shared" ref="K16" si="11">H16*0.6</f>
        <v>0</v>
      </c>
      <c r="L16" s="3">
        <f t="shared" ref="L16" si="12">I16*0.5</f>
        <v>0</v>
      </c>
      <c r="M16" s="3">
        <f t="shared" ref="M16" si="13">J16*0.4</f>
        <v>0</v>
      </c>
      <c r="N16" s="3">
        <f t="shared" si="10"/>
        <v>0</v>
      </c>
      <c r="O16" s="31"/>
      <c r="P16" s="12"/>
    </row>
    <row r="17" spans="1:15" ht="26.25" customHeight="1" x14ac:dyDescent="0.15">
      <c r="A17" s="26"/>
      <c r="B17" s="26"/>
      <c r="C17" s="28"/>
      <c r="D17" s="5" t="s">
        <v>13</v>
      </c>
      <c r="E17" s="1">
        <v>251.2</v>
      </c>
      <c r="F17" s="2">
        <v>305.17</v>
      </c>
      <c r="G17" s="2">
        <f>F17-E17</f>
        <v>53.970000000000027</v>
      </c>
      <c r="H17" s="1">
        <f>G17*0.2</f>
        <v>10.794000000000006</v>
      </c>
      <c r="I17" s="1">
        <f>H17*0.67</f>
        <v>7.2319800000000045</v>
      </c>
      <c r="J17" s="1">
        <f>H17*0.33</f>
        <v>3.5620200000000022</v>
      </c>
      <c r="K17" s="3">
        <v>6.47</v>
      </c>
      <c r="L17" s="3">
        <v>3.61</v>
      </c>
      <c r="M17" s="3">
        <v>1.42</v>
      </c>
      <c r="N17" s="3">
        <f>K17+L17+M17</f>
        <v>11.5</v>
      </c>
      <c r="O17" s="31"/>
    </row>
    <row r="18" spans="1:15" ht="26.25" customHeight="1" x14ac:dyDescent="0.15">
      <c r="A18" s="21"/>
      <c r="B18" s="21"/>
      <c r="C18" s="29"/>
      <c r="D18" s="5" t="s">
        <v>14</v>
      </c>
      <c r="E18" s="1">
        <v>1069.02</v>
      </c>
      <c r="F18" s="1">
        <f>F15+F16+F17</f>
        <v>2022.79</v>
      </c>
      <c r="G18" s="1">
        <f>G15+G16+G17</f>
        <v>953.76999999999987</v>
      </c>
      <c r="H18" s="1">
        <f t="shared" ref="H18:J18" si="14">H15+H16+H17</f>
        <v>292.774</v>
      </c>
      <c r="I18" s="1">
        <f t="shared" si="14"/>
        <v>157.95197999999999</v>
      </c>
      <c r="J18" s="1">
        <f t="shared" si="14"/>
        <v>77.792019999999994</v>
      </c>
      <c r="K18" s="1">
        <v>175.65</v>
      </c>
      <c r="L18" s="1">
        <v>78.97</v>
      </c>
      <c r="M18" s="1">
        <v>31.11</v>
      </c>
      <c r="N18" s="1">
        <v>285.73</v>
      </c>
      <c r="O18" s="32"/>
    </row>
    <row r="19" spans="1:15" ht="26.25" customHeight="1" x14ac:dyDescent="0.15">
      <c r="A19" s="20">
        <v>4</v>
      </c>
      <c r="B19" s="20" t="s">
        <v>28</v>
      </c>
      <c r="C19" s="27" t="s">
        <v>20</v>
      </c>
      <c r="D19" s="2" t="s">
        <v>16</v>
      </c>
      <c r="E19" s="2">
        <v>29.68</v>
      </c>
      <c r="F19" s="2">
        <v>236.55</v>
      </c>
      <c r="G19" s="2">
        <f t="shared" ref="G19:G29" si="15">F19-E19</f>
        <v>206.87</v>
      </c>
      <c r="H19" s="2">
        <f>59.14-7.42</f>
        <v>51.72</v>
      </c>
      <c r="I19" s="1">
        <f>39.62-4.97</f>
        <v>34.65</v>
      </c>
      <c r="J19" s="2">
        <f>19.52-2.45</f>
        <v>17.07</v>
      </c>
      <c r="K19" s="3">
        <f>H19*0.6</f>
        <v>31.031999999999996</v>
      </c>
      <c r="L19" s="3">
        <v>17.32</v>
      </c>
      <c r="M19" s="3">
        <v>6.82</v>
      </c>
      <c r="N19" s="3">
        <f t="shared" si="10"/>
        <v>55.171999999999997</v>
      </c>
      <c r="O19" s="30" t="s">
        <v>44</v>
      </c>
    </row>
    <row r="20" spans="1:15" ht="26.25" customHeight="1" x14ac:dyDescent="0.15">
      <c r="A20" s="26"/>
      <c r="B20" s="26"/>
      <c r="C20" s="28"/>
      <c r="D20" s="2" t="s">
        <v>17</v>
      </c>
      <c r="E20" s="1">
        <v>0.64</v>
      </c>
      <c r="F20" s="1">
        <v>0</v>
      </c>
      <c r="G20" s="2">
        <f t="shared" si="15"/>
        <v>-0.64</v>
      </c>
      <c r="H20" s="2">
        <v>-0.32</v>
      </c>
      <c r="I20" s="2">
        <v>-0.21</v>
      </c>
      <c r="J20" s="2">
        <v>-0.11</v>
      </c>
      <c r="K20" s="3">
        <f t="shared" ref="K20:K21" si="16">H20*0.6</f>
        <v>-0.192</v>
      </c>
      <c r="L20" s="3">
        <f t="shared" ref="L20" si="17">I20*0.5</f>
        <v>-0.105</v>
      </c>
      <c r="M20" s="3">
        <f t="shared" ref="M20:M21" si="18">J20*0.4</f>
        <v>-4.4000000000000004E-2</v>
      </c>
      <c r="N20" s="3">
        <f t="shared" si="10"/>
        <v>-0.34099999999999997</v>
      </c>
      <c r="O20" s="31"/>
    </row>
    <row r="21" spans="1:15" ht="26.25" customHeight="1" x14ac:dyDescent="0.15">
      <c r="A21" s="26"/>
      <c r="B21" s="26"/>
      <c r="C21" s="28"/>
      <c r="D21" s="5" t="s">
        <v>13</v>
      </c>
      <c r="E21" s="1">
        <v>0</v>
      </c>
      <c r="F21" s="1">
        <v>0</v>
      </c>
      <c r="G21" s="1">
        <f t="shared" si="15"/>
        <v>0</v>
      </c>
      <c r="H21" s="1">
        <f>G21*0.2</f>
        <v>0</v>
      </c>
      <c r="I21" s="1">
        <f>H21*0.67</f>
        <v>0</v>
      </c>
      <c r="J21" s="1">
        <f>H21*0.33</f>
        <v>0</v>
      </c>
      <c r="K21" s="3">
        <f t="shared" si="16"/>
        <v>0</v>
      </c>
      <c r="L21" s="14">
        <v>0</v>
      </c>
      <c r="M21" s="3">
        <f t="shared" si="18"/>
        <v>0</v>
      </c>
      <c r="N21" s="3">
        <f t="shared" si="10"/>
        <v>0</v>
      </c>
      <c r="O21" s="31"/>
    </row>
    <row r="22" spans="1:15" ht="26.25" customHeight="1" x14ac:dyDescent="0.15">
      <c r="A22" s="21"/>
      <c r="B22" s="21"/>
      <c r="C22" s="29"/>
      <c r="D22" s="5" t="s">
        <v>14</v>
      </c>
      <c r="E22" s="1">
        <v>30.32</v>
      </c>
      <c r="F22" s="1">
        <f>F19+F20+F21</f>
        <v>236.55</v>
      </c>
      <c r="G22" s="1">
        <f t="shared" ref="G22:N22" si="19">G19+G20+G21</f>
        <v>206.23000000000002</v>
      </c>
      <c r="H22" s="1">
        <f t="shared" si="19"/>
        <v>51.4</v>
      </c>
      <c r="I22" s="1">
        <f t="shared" si="19"/>
        <v>34.44</v>
      </c>
      <c r="J22" s="1">
        <f t="shared" si="19"/>
        <v>16.96</v>
      </c>
      <c r="K22" s="1">
        <v>30.84</v>
      </c>
      <c r="L22" s="1">
        <v>17.21</v>
      </c>
      <c r="M22" s="1">
        <f t="shared" si="19"/>
        <v>6.7760000000000007</v>
      </c>
      <c r="N22" s="1">
        <f t="shared" si="19"/>
        <v>54.830999999999996</v>
      </c>
      <c r="O22" s="32"/>
    </row>
    <row r="23" spans="1:15" ht="26.25" customHeight="1" x14ac:dyDescent="0.15">
      <c r="A23" s="20">
        <v>5</v>
      </c>
      <c r="B23" s="20" t="s">
        <v>31</v>
      </c>
      <c r="C23" s="27" t="s">
        <v>21</v>
      </c>
      <c r="D23" s="2" t="s">
        <v>16</v>
      </c>
      <c r="E23" s="2">
        <v>899.69</v>
      </c>
      <c r="F23" s="2">
        <v>1824.76</v>
      </c>
      <c r="G23" s="2">
        <f t="shared" si="15"/>
        <v>925.06999999999994</v>
      </c>
      <c r="H23" s="2">
        <f>456.19-164.92</f>
        <v>291.27</v>
      </c>
      <c r="I23" s="1">
        <v>0</v>
      </c>
      <c r="J23" s="2">
        <f>456.19-224.92</f>
        <v>231.27</v>
      </c>
      <c r="K23" s="3">
        <f>H23*0.6</f>
        <v>174.76199999999997</v>
      </c>
      <c r="L23" s="14">
        <f>I23*0.5</f>
        <v>0</v>
      </c>
      <c r="M23" s="3">
        <v>92.5</v>
      </c>
      <c r="N23" s="3">
        <f t="shared" si="10"/>
        <v>267.26199999999994</v>
      </c>
      <c r="O23" s="30" t="s">
        <v>40</v>
      </c>
    </row>
    <row r="24" spans="1:15" ht="26.25" customHeight="1" x14ac:dyDescent="0.15">
      <c r="A24" s="26"/>
      <c r="B24" s="26"/>
      <c r="C24" s="28"/>
      <c r="D24" s="2" t="s">
        <v>17</v>
      </c>
      <c r="E24" s="1">
        <v>0</v>
      </c>
      <c r="F24" s="1">
        <v>0</v>
      </c>
      <c r="G24" s="1">
        <f t="shared" si="15"/>
        <v>0</v>
      </c>
      <c r="H24" s="1">
        <v>0</v>
      </c>
      <c r="I24" s="1">
        <v>0</v>
      </c>
      <c r="J24" s="1">
        <v>0</v>
      </c>
      <c r="K24" s="3">
        <f t="shared" ref="K24:K25" si="20">H24*0.6</f>
        <v>0</v>
      </c>
      <c r="L24" s="3">
        <f t="shared" ref="L24:L25" si="21">I24*0.5</f>
        <v>0</v>
      </c>
      <c r="M24" s="3">
        <f t="shared" ref="M24:M25" si="22">J24*0.4</f>
        <v>0</v>
      </c>
      <c r="N24" s="3">
        <f t="shared" si="10"/>
        <v>0</v>
      </c>
      <c r="O24" s="31"/>
    </row>
    <row r="25" spans="1:15" ht="26.25" customHeight="1" x14ac:dyDescent="0.15">
      <c r="A25" s="26"/>
      <c r="B25" s="26"/>
      <c r="C25" s="28"/>
      <c r="D25" s="5" t="s">
        <v>13</v>
      </c>
      <c r="E25" s="1">
        <v>0</v>
      </c>
      <c r="F25" s="1">
        <v>56.5</v>
      </c>
      <c r="G25" s="1">
        <f t="shared" si="15"/>
        <v>56.5</v>
      </c>
      <c r="H25" s="1">
        <f>G25*0.2</f>
        <v>11.3</v>
      </c>
      <c r="I25" s="1">
        <v>0</v>
      </c>
      <c r="J25" s="1">
        <f>G25*0.2</f>
        <v>11.3</v>
      </c>
      <c r="K25" s="3">
        <f t="shared" si="20"/>
        <v>6.78</v>
      </c>
      <c r="L25" s="3">
        <f t="shared" si="21"/>
        <v>0</v>
      </c>
      <c r="M25" s="3">
        <f t="shared" si="22"/>
        <v>4.5200000000000005</v>
      </c>
      <c r="N25" s="3">
        <f t="shared" si="10"/>
        <v>11.3</v>
      </c>
      <c r="O25" s="31"/>
    </row>
    <row r="26" spans="1:15" ht="26.25" customHeight="1" x14ac:dyDescent="0.15">
      <c r="A26" s="21"/>
      <c r="B26" s="21"/>
      <c r="C26" s="29"/>
      <c r="D26" s="5" t="s">
        <v>14</v>
      </c>
      <c r="E26" s="2">
        <v>899.69</v>
      </c>
      <c r="F26" s="3">
        <f>F23+F24+F25</f>
        <v>1881.26</v>
      </c>
      <c r="G26" s="3">
        <f t="shared" ref="G26:J26" si="23">G23+G24+G25</f>
        <v>981.56999999999994</v>
      </c>
      <c r="H26" s="3">
        <f t="shared" si="23"/>
        <v>302.57</v>
      </c>
      <c r="I26" s="3">
        <f t="shared" si="23"/>
        <v>0</v>
      </c>
      <c r="J26" s="3">
        <f t="shared" si="23"/>
        <v>242.57000000000002</v>
      </c>
      <c r="K26" s="3">
        <v>181.54</v>
      </c>
      <c r="L26" s="3">
        <v>0</v>
      </c>
      <c r="M26" s="3">
        <v>97.02</v>
      </c>
      <c r="N26" s="3">
        <v>278.56</v>
      </c>
      <c r="O26" s="32"/>
    </row>
    <row r="27" spans="1:15" ht="26.25" customHeight="1" x14ac:dyDescent="0.15">
      <c r="A27" s="20">
        <v>6</v>
      </c>
      <c r="B27" s="20" t="s">
        <v>32</v>
      </c>
      <c r="C27" s="27" t="s">
        <v>22</v>
      </c>
      <c r="D27" s="2" t="s">
        <v>16</v>
      </c>
      <c r="E27" s="1">
        <v>0</v>
      </c>
      <c r="F27" s="1">
        <v>38.58</v>
      </c>
      <c r="G27" s="2">
        <f t="shared" si="15"/>
        <v>38.58</v>
      </c>
      <c r="H27" s="1">
        <f>G27*0.25</f>
        <v>9.6449999999999996</v>
      </c>
      <c r="I27" s="1">
        <v>0</v>
      </c>
      <c r="J27" s="3">
        <f>G27*0.25</f>
        <v>9.6449999999999996</v>
      </c>
      <c r="K27" s="3">
        <v>5.78</v>
      </c>
      <c r="L27" s="3">
        <f>I27*0.5</f>
        <v>0</v>
      </c>
      <c r="M27" s="3">
        <v>3.85</v>
      </c>
      <c r="N27" s="3">
        <f t="shared" si="10"/>
        <v>9.6300000000000008</v>
      </c>
      <c r="O27" s="30" t="s">
        <v>45</v>
      </c>
    </row>
    <row r="28" spans="1:15" ht="26.25" customHeight="1" x14ac:dyDescent="0.15">
      <c r="A28" s="26"/>
      <c r="B28" s="26"/>
      <c r="C28" s="28"/>
      <c r="D28" s="2" t="s">
        <v>17</v>
      </c>
      <c r="E28" s="1">
        <v>0</v>
      </c>
      <c r="F28" s="1">
        <v>0</v>
      </c>
      <c r="G28" s="1">
        <f t="shared" si="15"/>
        <v>0</v>
      </c>
      <c r="H28" s="1">
        <v>0</v>
      </c>
      <c r="I28" s="1">
        <v>0</v>
      </c>
      <c r="J28" s="1">
        <v>0</v>
      </c>
      <c r="K28" s="3">
        <v>0</v>
      </c>
      <c r="L28" s="3">
        <f t="shared" ref="L28:L29" si="24">I28*0.5</f>
        <v>0</v>
      </c>
      <c r="M28" s="3">
        <f t="shared" ref="M28:M29" si="25">J28*0.4</f>
        <v>0</v>
      </c>
      <c r="N28" s="13">
        <f t="shared" si="10"/>
        <v>0</v>
      </c>
      <c r="O28" s="31"/>
    </row>
    <row r="29" spans="1:15" ht="26.25" customHeight="1" x14ac:dyDescent="0.15">
      <c r="A29" s="26"/>
      <c r="B29" s="26"/>
      <c r="C29" s="28"/>
      <c r="D29" s="5" t="s">
        <v>13</v>
      </c>
      <c r="E29" s="1">
        <v>0</v>
      </c>
      <c r="F29" s="1">
        <v>0</v>
      </c>
      <c r="G29" s="1">
        <f t="shared" si="15"/>
        <v>0</v>
      </c>
      <c r="H29" s="1">
        <v>0</v>
      </c>
      <c r="I29" s="1">
        <v>0</v>
      </c>
      <c r="J29" s="1">
        <v>0</v>
      </c>
      <c r="K29" s="3">
        <f>H29*0.6</f>
        <v>0</v>
      </c>
      <c r="L29" s="3">
        <f t="shared" si="24"/>
        <v>0</v>
      </c>
      <c r="M29" s="3">
        <f t="shared" si="25"/>
        <v>0</v>
      </c>
      <c r="N29" s="13">
        <f t="shared" si="10"/>
        <v>0</v>
      </c>
      <c r="O29" s="31"/>
    </row>
    <row r="30" spans="1:15" ht="26.25" customHeight="1" x14ac:dyDescent="0.15">
      <c r="A30" s="21"/>
      <c r="B30" s="21"/>
      <c r="C30" s="29"/>
      <c r="D30" s="5" t="s">
        <v>14</v>
      </c>
      <c r="E30" s="1">
        <v>0</v>
      </c>
      <c r="F30" s="1">
        <f>F27+F28+F29</f>
        <v>38.58</v>
      </c>
      <c r="G30" s="1">
        <f t="shared" ref="G30:J30" si="26">G27+G28+G29</f>
        <v>38.58</v>
      </c>
      <c r="H30" s="1">
        <f t="shared" si="26"/>
        <v>9.6449999999999996</v>
      </c>
      <c r="I30" s="1">
        <f t="shared" si="26"/>
        <v>0</v>
      </c>
      <c r="J30" s="1">
        <f t="shared" si="26"/>
        <v>9.6449999999999996</v>
      </c>
      <c r="K30" s="1">
        <v>5.78</v>
      </c>
      <c r="L30" s="1">
        <v>0</v>
      </c>
      <c r="M30" s="1">
        <v>3.85</v>
      </c>
      <c r="N30" s="1">
        <v>9.6300000000000008</v>
      </c>
      <c r="O30" s="32"/>
    </row>
    <row r="31" spans="1:15" ht="26.25" customHeight="1" x14ac:dyDescent="0.15">
      <c r="A31" s="20">
        <v>7</v>
      </c>
      <c r="B31" s="20" t="s">
        <v>27</v>
      </c>
      <c r="C31" s="27" t="s">
        <v>23</v>
      </c>
      <c r="D31" s="2" t="s">
        <v>16</v>
      </c>
      <c r="E31" s="1">
        <v>102.28</v>
      </c>
      <c r="F31" s="2">
        <v>22.61</v>
      </c>
      <c r="G31" s="2">
        <f t="shared" ref="G31:G33" si="27">F31-E31</f>
        <v>-79.67</v>
      </c>
      <c r="H31" s="2">
        <f>5.65-6.21</f>
        <v>-0.55999999999999961</v>
      </c>
      <c r="I31" s="1">
        <v>0</v>
      </c>
      <c r="J31" s="3">
        <f>5.65-25.57</f>
        <v>-19.920000000000002</v>
      </c>
      <c r="K31" s="3">
        <f>H31*0.6</f>
        <v>-0.33599999999999974</v>
      </c>
      <c r="L31" s="3">
        <f>I31*0.5</f>
        <v>0</v>
      </c>
      <c r="M31" s="3">
        <f>J31*0.4</f>
        <v>-7.9680000000000009</v>
      </c>
      <c r="N31" s="3">
        <v>-8.31</v>
      </c>
      <c r="O31" s="30" t="s">
        <v>42</v>
      </c>
    </row>
    <row r="32" spans="1:15" ht="26.25" customHeight="1" x14ac:dyDescent="0.15">
      <c r="A32" s="26"/>
      <c r="B32" s="26"/>
      <c r="C32" s="28"/>
      <c r="D32" s="2" t="s">
        <v>17</v>
      </c>
      <c r="E32" s="1">
        <v>0.28999999999999998</v>
      </c>
      <c r="F32" s="1">
        <v>0</v>
      </c>
      <c r="G32" s="2">
        <f t="shared" si="27"/>
        <v>-0.28999999999999998</v>
      </c>
      <c r="H32" s="2">
        <v>-0.14000000000000001</v>
      </c>
      <c r="I32" s="1">
        <v>0</v>
      </c>
      <c r="J32" s="2">
        <v>-0.15</v>
      </c>
      <c r="K32" s="3">
        <f>H32*0.6</f>
        <v>-8.4000000000000005E-2</v>
      </c>
      <c r="L32" s="3">
        <v>0</v>
      </c>
      <c r="M32" s="3">
        <v>-0.06</v>
      </c>
      <c r="N32" s="3">
        <f t="shared" si="10"/>
        <v>-0.14400000000000002</v>
      </c>
      <c r="O32" s="31"/>
    </row>
    <row r="33" spans="1:15" ht="26.25" customHeight="1" x14ac:dyDescent="0.15">
      <c r="A33" s="26"/>
      <c r="B33" s="26"/>
      <c r="C33" s="28"/>
      <c r="D33" s="5" t="s">
        <v>13</v>
      </c>
      <c r="E33" s="1">
        <v>0</v>
      </c>
      <c r="F33" s="1">
        <v>117.53</v>
      </c>
      <c r="G33" s="2">
        <f t="shared" si="27"/>
        <v>117.53</v>
      </c>
      <c r="H33" s="1">
        <v>23.51</v>
      </c>
      <c r="I33" s="1">
        <v>0</v>
      </c>
      <c r="J33" s="1">
        <v>23.51</v>
      </c>
      <c r="K33" s="3">
        <f>H33*0.6</f>
        <v>14.106</v>
      </c>
      <c r="L33" s="3">
        <f>I33*0.5</f>
        <v>0</v>
      </c>
      <c r="M33" s="3">
        <f>J33*0.4</f>
        <v>9.4040000000000017</v>
      </c>
      <c r="N33" s="3">
        <f t="shared" si="10"/>
        <v>23.51</v>
      </c>
      <c r="O33" s="31"/>
    </row>
    <row r="34" spans="1:15" ht="26.25" customHeight="1" x14ac:dyDescent="0.15">
      <c r="A34" s="21"/>
      <c r="B34" s="21"/>
      <c r="C34" s="29"/>
      <c r="D34" s="5" t="s">
        <v>14</v>
      </c>
      <c r="E34" s="1">
        <v>102.57000000000001</v>
      </c>
      <c r="F34" s="1">
        <f>F31+F32+F33</f>
        <v>140.13999999999999</v>
      </c>
      <c r="G34" s="1">
        <f t="shared" ref="G34:J34" si="28">G31+G32+G33</f>
        <v>37.569999999999993</v>
      </c>
      <c r="H34" s="1">
        <f t="shared" si="28"/>
        <v>22.810000000000002</v>
      </c>
      <c r="I34" s="1">
        <f t="shared" si="28"/>
        <v>0</v>
      </c>
      <c r="J34" s="1">
        <f t="shared" si="28"/>
        <v>3.4400000000000013</v>
      </c>
      <c r="K34" s="1">
        <v>13.69</v>
      </c>
      <c r="L34" s="1">
        <v>0</v>
      </c>
      <c r="M34" s="1">
        <v>1.37</v>
      </c>
      <c r="N34" s="1">
        <v>15.06</v>
      </c>
      <c r="O34" s="32"/>
    </row>
    <row r="35" spans="1:15" ht="26.25" customHeight="1" x14ac:dyDescent="0.15">
      <c r="A35" s="20">
        <v>8</v>
      </c>
      <c r="B35" s="20" t="s">
        <v>27</v>
      </c>
      <c r="C35" s="27" t="s">
        <v>24</v>
      </c>
      <c r="D35" s="2" t="s">
        <v>16</v>
      </c>
      <c r="E35" s="2">
        <v>382.78</v>
      </c>
      <c r="F35" s="2">
        <v>562.86</v>
      </c>
      <c r="G35" s="2">
        <f>F35-E35</f>
        <v>180.08000000000004</v>
      </c>
      <c r="H35" s="1">
        <f>140.71-70.86</f>
        <v>69.850000000000009</v>
      </c>
      <c r="I35" s="1">
        <v>0</v>
      </c>
      <c r="J35" s="3">
        <f>140.71-95.7</f>
        <v>45.010000000000005</v>
      </c>
      <c r="K35" s="3">
        <f t="shared" ref="K35" si="29">H35*0.6</f>
        <v>41.910000000000004</v>
      </c>
      <c r="L35" s="3">
        <f>I35*0.5</f>
        <v>0</v>
      </c>
      <c r="M35" s="3">
        <f>J35*0.4</f>
        <v>18.004000000000001</v>
      </c>
      <c r="N35" s="3">
        <f>K35+L35+M35</f>
        <v>59.914000000000001</v>
      </c>
      <c r="O35" s="30" t="s">
        <v>41</v>
      </c>
    </row>
    <row r="36" spans="1:15" ht="26.25" customHeight="1" x14ac:dyDescent="0.15">
      <c r="A36" s="26"/>
      <c r="B36" s="26"/>
      <c r="C36" s="28"/>
      <c r="D36" s="2" t="s">
        <v>17</v>
      </c>
      <c r="E36" s="1">
        <v>4.43</v>
      </c>
      <c r="F36" s="2">
        <v>0</v>
      </c>
      <c r="G36" s="2">
        <f t="shared" ref="G36:G37" si="30">F36-E36</f>
        <v>-4.43</v>
      </c>
      <c r="H36" s="2">
        <v>-2.21</v>
      </c>
      <c r="I36" s="2">
        <v>0</v>
      </c>
      <c r="J36" s="2">
        <v>-2.2200000000000002</v>
      </c>
      <c r="K36" s="3">
        <v>-1.3259999999999998</v>
      </c>
      <c r="L36" s="3">
        <v>0</v>
      </c>
      <c r="M36" s="3">
        <v>-0.88800000000000012</v>
      </c>
      <c r="N36" s="3">
        <v>-2.2200000000000002</v>
      </c>
      <c r="O36" s="31"/>
    </row>
    <row r="37" spans="1:15" ht="26.25" customHeight="1" x14ac:dyDescent="0.15">
      <c r="A37" s="26"/>
      <c r="B37" s="26"/>
      <c r="C37" s="28"/>
      <c r="D37" s="5" t="s">
        <v>13</v>
      </c>
      <c r="E37" s="2">
        <v>199.9</v>
      </c>
      <c r="F37" s="1">
        <v>46</v>
      </c>
      <c r="G37" s="2">
        <f t="shared" si="30"/>
        <v>-153.9</v>
      </c>
      <c r="H37" s="1">
        <f>G37*0.2</f>
        <v>-30.78</v>
      </c>
      <c r="I37" s="1">
        <v>0</v>
      </c>
      <c r="J37" s="1">
        <f>G37*0.2</f>
        <v>-30.78</v>
      </c>
      <c r="K37" s="3">
        <v>-18.46</v>
      </c>
      <c r="L37" s="3">
        <f>I37*0.5</f>
        <v>0</v>
      </c>
      <c r="M37" s="3">
        <f>J37*0.4</f>
        <v>-12.312000000000001</v>
      </c>
      <c r="N37" s="3">
        <f>K37+L37+M37</f>
        <v>-30.772000000000002</v>
      </c>
      <c r="O37" s="31"/>
    </row>
    <row r="38" spans="1:15" ht="26.25" customHeight="1" x14ac:dyDescent="0.15">
      <c r="A38" s="21"/>
      <c r="B38" s="21"/>
      <c r="C38" s="29"/>
      <c r="D38" s="5" t="s">
        <v>14</v>
      </c>
      <c r="E38" s="1">
        <v>587.11</v>
      </c>
      <c r="F38" s="1">
        <f>F35+F36+F37</f>
        <v>608.86</v>
      </c>
      <c r="G38" s="1">
        <f t="shared" ref="G38:J38" si="31">G35+G36+G37</f>
        <v>21.750000000000028</v>
      </c>
      <c r="H38" s="1">
        <f t="shared" si="31"/>
        <v>36.860000000000014</v>
      </c>
      <c r="I38" s="1">
        <f t="shared" si="31"/>
        <v>0</v>
      </c>
      <c r="J38" s="1">
        <f t="shared" si="31"/>
        <v>12.010000000000005</v>
      </c>
      <c r="K38" s="3">
        <v>22.12</v>
      </c>
      <c r="L38" s="3">
        <v>0</v>
      </c>
      <c r="M38" s="3">
        <v>4.8</v>
      </c>
      <c r="N38" s="3">
        <v>26.92</v>
      </c>
      <c r="O38" s="32"/>
    </row>
    <row r="39" spans="1:15" ht="26.25" customHeight="1" x14ac:dyDescent="0.15">
      <c r="A39" s="20">
        <v>9</v>
      </c>
      <c r="B39" s="20" t="s">
        <v>33</v>
      </c>
      <c r="C39" s="27" t="s">
        <v>25</v>
      </c>
      <c r="D39" s="2" t="s">
        <v>16</v>
      </c>
      <c r="E39" s="2">
        <v>40.04</v>
      </c>
      <c r="F39" s="2">
        <v>257.24</v>
      </c>
      <c r="G39" s="2">
        <f>F39-E39</f>
        <v>217.20000000000002</v>
      </c>
      <c r="H39" s="1">
        <f>64.31-7.66</f>
        <v>56.650000000000006</v>
      </c>
      <c r="I39" s="1">
        <v>0</v>
      </c>
      <c r="J39" s="3">
        <f>64.31-10.01</f>
        <v>54.300000000000004</v>
      </c>
      <c r="K39" s="3">
        <f>H39*0.6</f>
        <v>33.99</v>
      </c>
      <c r="L39" s="3">
        <v>0</v>
      </c>
      <c r="M39" s="3">
        <f>J39*0.4</f>
        <v>21.720000000000002</v>
      </c>
      <c r="N39" s="3">
        <f>K39+L39+M39</f>
        <v>55.710000000000008</v>
      </c>
      <c r="O39" s="30" t="s">
        <v>39</v>
      </c>
    </row>
    <row r="40" spans="1:15" ht="26.25" customHeight="1" x14ac:dyDescent="0.15">
      <c r="A40" s="26"/>
      <c r="B40" s="26"/>
      <c r="C40" s="28"/>
      <c r="D40" s="2" t="s">
        <v>17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31"/>
    </row>
    <row r="41" spans="1:15" ht="26.25" customHeight="1" x14ac:dyDescent="0.15">
      <c r="A41" s="26"/>
      <c r="B41" s="26"/>
      <c r="C41" s="28"/>
      <c r="D41" s="5" t="s">
        <v>13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31"/>
    </row>
    <row r="42" spans="1:15" ht="26.25" customHeight="1" x14ac:dyDescent="0.15">
      <c r="A42" s="21"/>
      <c r="B42" s="21"/>
      <c r="C42" s="29"/>
      <c r="D42" s="5" t="s">
        <v>14</v>
      </c>
      <c r="E42" s="2">
        <v>40.04</v>
      </c>
      <c r="F42" s="3">
        <f>F39+F40+F41</f>
        <v>257.24</v>
      </c>
      <c r="G42" s="3">
        <f t="shared" ref="G42:M42" si="32">G39+G40+G41</f>
        <v>217.20000000000002</v>
      </c>
      <c r="H42" s="3">
        <f t="shared" si="32"/>
        <v>56.650000000000006</v>
      </c>
      <c r="I42" s="3">
        <f t="shared" si="32"/>
        <v>0</v>
      </c>
      <c r="J42" s="3">
        <f t="shared" si="32"/>
        <v>54.300000000000004</v>
      </c>
      <c r="K42" s="3">
        <f t="shared" si="32"/>
        <v>33.99</v>
      </c>
      <c r="L42" s="3">
        <f t="shared" si="32"/>
        <v>0</v>
      </c>
      <c r="M42" s="3">
        <f t="shared" si="32"/>
        <v>21.720000000000002</v>
      </c>
      <c r="N42" s="3">
        <f>K42+L42+M42</f>
        <v>55.710000000000008</v>
      </c>
      <c r="O42" s="32"/>
    </row>
    <row r="43" spans="1:15" ht="35.25" customHeight="1" x14ac:dyDescent="0.15">
      <c r="A43" s="37" t="s">
        <v>43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43.5" customHeight="1" x14ac:dyDescent="0.15">
      <c r="A44" s="36" t="s">
        <v>36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ht="45.75" customHeight="1" x14ac:dyDescent="0.15">
      <c r="A45" s="36" t="s">
        <v>46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ht="30" customHeight="1" x14ac:dyDescent="0.15"/>
  </sheetData>
  <mergeCells count="53">
    <mergeCell ref="A6:C6"/>
    <mergeCell ref="O39:O42"/>
    <mergeCell ref="A45:O45"/>
    <mergeCell ref="A44:O44"/>
    <mergeCell ref="B31:B34"/>
    <mergeCell ref="B35:B38"/>
    <mergeCell ref="A31:A34"/>
    <mergeCell ref="C31:C34"/>
    <mergeCell ref="O31:O34"/>
    <mergeCell ref="A35:A38"/>
    <mergeCell ref="C35:C38"/>
    <mergeCell ref="O35:O38"/>
    <mergeCell ref="A43:O43"/>
    <mergeCell ref="B39:B42"/>
    <mergeCell ref="A39:A42"/>
    <mergeCell ref="C39:C42"/>
    <mergeCell ref="O27:O30"/>
    <mergeCell ref="B19:B22"/>
    <mergeCell ref="B23:B26"/>
    <mergeCell ref="A19:A22"/>
    <mergeCell ref="C19:C22"/>
    <mergeCell ref="O19:O22"/>
    <mergeCell ref="B27:B30"/>
    <mergeCell ref="A23:A26"/>
    <mergeCell ref="C23:C26"/>
    <mergeCell ref="O23:O26"/>
    <mergeCell ref="A27:A30"/>
    <mergeCell ref="C27:C30"/>
    <mergeCell ref="O7:O10"/>
    <mergeCell ref="B15:B18"/>
    <mergeCell ref="C11:C14"/>
    <mergeCell ref="O11:O14"/>
    <mergeCell ref="A15:A18"/>
    <mergeCell ref="C15:C18"/>
    <mergeCell ref="O15:O18"/>
    <mergeCell ref="B7:B10"/>
    <mergeCell ref="B11:B14"/>
    <mergeCell ref="A11:A14"/>
    <mergeCell ref="A7:A10"/>
    <mergeCell ref="C7:C10"/>
    <mergeCell ref="A1:C1"/>
    <mergeCell ref="A2:O2"/>
    <mergeCell ref="K4:N4"/>
    <mergeCell ref="C4:C5"/>
    <mergeCell ref="A4:A5"/>
    <mergeCell ref="O4:O5"/>
    <mergeCell ref="D4:D5"/>
    <mergeCell ref="G4:G5"/>
    <mergeCell ref="H4:H5"/>
    <mergeCell ref="I4:I5"/>
    <mergeCell ref="J4:J5"/>
    <mergeCell ref="B4:B5"/>
    <mergeCell ref="A3:C3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8" orientation="landscape" r:id="rId1"/>
  <headerFooter>
    <oddFooter>第 &amp;P 页，共 &amp;N 页</oddFooter>
  </headerFooter>
  <rowBreaks count="1" manualBreakCount="1">
    <brk id="26" max="16383" man="1"/>
  </rowBreaks>
  <ignoredErrors>
    <ignoredError sqref="G10 G14 G18 G22 G26 G38 G34 G30 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核算表</vt:lpstr>
      <vt:lpstr>核算表!Print_Area</vt:lpstr>
      <vt:lpstr>核算表!Print_Titles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2020-07-27T07:59:56Z</dcterms:modified>
</cp:coreProperties>
</file>